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la\dfs\ENRG\ENRG-Planning1\Planning Policy\Local Plan Documents\1. Revised PSVLP\Flood Risk\1. New Site Screening\"/>
    </mc:Choice>
  </mc:AlternateContent>
  <bookViews>
    <workbookView xWindow="0" yWindow="0" windowWidth="21600" windowHeight="10670"/>
  </bookViews>
  <sheets>
    <sheet name="Sites Assessment" sheetId="3" r:id="rId1"/>
    <sheet name="Calculations" sheetId="1" state="hidden" r:id="rId2"/>
  </sheets>
  <definedNames>
    <definedName name="_xlnm._FilterDatabase" localSheetId="1" hidden="1">Calculations!$A$1:$R$3</definedName>
    <definedName name="_xlnm._FilterDatabase" localSheetId="0" hidden="1">'Sites Assessment'!$B$25:$W$27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1" l="1"/>
  <c r="G3" i="1" s="1"/>
  <c r="G2" i="1"/>
  <c r="R13" i="3" l="1"/>
  <c r="P13" i="3"/>
  <c r="N13" i="3"/>
  <c r="E13" i="3"/>
  <c r="D13" i="3"/>
  <c r="N27" i="3"/>
  <c r="P27" i="3"/>
  <c r="R27" i="3"/>
  <c r="R26" i="3"/>
  <c r="P26" i="3"/>
  <c r="N26" i="3"/>
  <c r="O5" i="1" l="1"/>
  <c r="M6" i="1" l="1"/>
  <c r="C27" i="3" l="1"/>
  <c r="C26" i="3"/>
  <c r="P3" i="1"/>
  <c r="S27" i="3" s="1"/>
  <c r="Q3" i="1"/>
  <c r="Q27" i="3" s="1"/>
  <c r="R3" i="1"/>
  <c r="O27" i="3" s="1"/>
  <c r="R2" i="1"/>
  <c r="O26" i="3" s="1"/>
  <c r="O13" i="3" s="1"/>
  <c r="Q2" i="1"/>
  <c r="Q26" i="3" s="1"/>
  <c r="Q13" i="3" s="1"/>
  <c r="P2" i="1"/>
  <c r="S26" i="3" s="1"/>
  <c r="S13" i="3" s="1"/>
  <c r="K3" i="1"/>
  <c r="K2" i="1"/>
  <c r="J3" i="1"/>
  <c r="J2" i="1"/>
  <c r="I3" i="1"/>
  <c r="I2" i="1"/>
  <c r="H3" i="1"/>
  <c r="L3" i="1" s="1"/>
  <c r="H2" i="1"/>
  <c r="L2" i="1" s="1"/>
  <c r="J6" i="1" l="1"/>
  <c r="K6" i="1"/>
  <c r="L6" i="1"/>
  <c r="I5" i="1"/>
  <c r="I6" i="1"/>
  <c r="D26" i="3"/>
  <c r="E26" i="3"/>
  <c r="F26" i="3"/>
  <c r="G26" i="3"/>
  <c r="H26" i="3"/>
  <c r="I26" i="3"/>
  <c r="J26" i="3"/>
  <c r="J13" i="3" s="1"/>
  <c r="K26" i="3"/>
  <c r="K13" i="3" s="1"/>
  <c r="L26" i="3"/>
  <c r="M26" i="3"/>
  <c r="D27" i="3"/>
  <c r="E27" i="3"/>
  <c r="F27" i="3"/>
  <c r="G27" i="3"/>
  <c r="H27" i="3"/>
  <c r="I27" i="3"/>
  <c r="J27" i="3"/>
  <c r="K27" i="3"/>
  <c r="L27" i="3"/>
  <c r="L13" i="3" s="1"/>
  <c r="M27" i="3"/>
  <c r="M13" i="3" s="1"/>
  <c r="H13" i="3" l="1"/>
  <c r="I13" i="3"/>
  <c r="F13" i="3"/>
  <c r="G13" i="3"/>
  <c r="O6" i="1"/>
  <c r="D14" i="3" l="1"/>
  <c r="R6" i="1"/>
  <c r="Q6" i="1"/>
  <c r="P14" i="3" l="1"/>
  <c r="Q14" i="3"/>
  <c r="N14" i="3"/>
  <c r="N6" i="1" l="1"/>
  <c r="O14" i="3" l="1"/>
  <c r="N5" i="1" l="1"/>
  <c r="M5" i="1"/>
  <c r="U2" i="1" l="1"/>
  <c r="T2" i="1" l="1"/>
  <c r="R14" i="3" l="1"/>
  <c r="B27" i="3"/>
  <c r="U3" i="1" l="1"/>
  <c r="P6" i="1" l="1"/>
  <c r="K5" i="1"/>
  <c r="J5" i="1"/>
  <c r="R5" i="1"/>
  <c r="Q5" i="1"/>
  <c r="P5" i="1"/>
  <c r="T3" i="1"/>
  <c r="U6" i="1" l="1"/>
  <c r="L5" i="1"/>
  <c r="U5" i="1"/>
  <c r="S14" i="3" l="1"/>
  <c r="T6" i="1"/>
  <c r="J14" i="3" l="1"/>
  <c r="M14" i="3"/>
  <c r="H14" i="3"/>
  <c r="L14" i="3"/>
  <c r="G14" i="3"/>
  <c r="K14" i="3" l="1"/>
  <c r="I14" i="3"/>
  <c r="E14" i="3"/>
  <c r="B26" i="3"/>
  <c r="F14" i="3" l="1"/>
</calcChain>
</file>

<file path=xl/sharedStrings.xml><?xml version="1.0" encoding="utf-8"?>
<sst xmlns="http://schemas.openxmlformats.org/spreadsheetml/2006/main" count="109" uniqueCount="61">
  <si>
    <t>SiteRef</t>
  </si>
  <si>
    <t>Proposed_Use</t>
  </si>
  <si>
    <t>Area_Ha</t>
  </si>
  <si>
    <t>FZ3b_pct</t>
  </si>
  <si>
    <t>FZ3a_pct</t>
  </si>
  <si>
    <t>FZ2_pct</t>
  </si>
  <si>
    <t>Summary Table</t>
  </si>
  <si>
    <t>The colour coding shows the highest risk element of the flood zone that is present on site and is not in itself an indication of whether the site should or shouldn’t be developed for flooding reason</t>
  </si>
  <si>
    <t>Flood Zone 1</t>
  </si>
  <si>
    <t>Flood Zone 2</t>
  </si>
  <si>
    <t>Flood Zone 3a</t>
  </si>
  <si>
    <t>Flood Zone 3b</t>
  </si>
  <si>
    <t>Number of Sites</t>
  </si>
  <si>
    <t>Area (ha)</t>
  </si>
  <si>
    <t xml:space="preserve">No. 100% </t>
  </si>
  <si>
    <t>No.</t>
  </si>
  <si>
    <t>Key</t>
  </si>
  <si>
    <t>TOTAL</t>
  </si>
  <si>
    <t>Main Table</t>
  </si>
  <si>
    <t xml:space="preserve">Flood Zone 1 + Surface Water </t>
  </si>
  <si>
    <t>Site Reference</t>
  </si>
  <si>
    <t>Site Name</t>
  </si>
  <si>
    <t>%</t>
  </si>
  <si>
    <t>FZ1</t>
  </si>
  <si>
    <t>FZ3a_Area</t>
  </si>
  <si>
    <t>FZ2_Area</t>
  </si>
  <si>
    <t>FZ3b_Area</t>
  </si>
  <si>
    <t>Name</t>
  </si>
  <si>
    <t>FZ1_Area</t>
  </si>
  <si>
    <t>Significant Surface Water Risk?</t>
  </si>
  <si>
    <t>Level 1 Strategic Recommendation (see SFRA Report)</t>
  </si>
  <si>
    <t>Risk of Flooding from Surface Water</t>
  </si>
  <si>
    <t>High Risk (1 in 30 year outline)</t>
  </si>
  <si>
    <t>Medium Risk (1 in 100 year outline)</t>
  </si>
  <si>
    <t>Low Risk (1 in 1000 year outline)</t>
  </si>
  <si>
    <t>Flood Risk Vulnerability Classification (NPPF)</t>
  </si>
  <si>
    <t>Council Comments</t>
  </si>
  <si>
    <t>QA</t>
  </si>
  <si>
    <t>RoFSW30yr_Area</t>
  </si>
  <si>
    <t>RoFSW100yr_Area</t>
  </si>
  <si>
    <t>RoFSW1000yr_Area</t>
  </si>
  <si>
    <t>RoFSW30yr_pct</t>
  </si>
  <si>
    <t>RoFSW100yr_pct</t>
  </si>
  <si>
    <t>RoFSW1000yr_pct</t>
  </si>
  <si>
    <t>Development Considerations</t>
  </si>
  <si>
    <t>Proposed Use</t>
  </si>
  <si>
    <t>Fluvial Flood Zone Coverage</t>
  </si>
  <si>
    <t>No</t>
  </si>
  <si>
    <t>More vulnerable</t>
  </si>
  <si>
    <t>Warrington Borough Council</t>
  </si>
  <si>
    <t>Strategic Recommendation D</t>
  </si>
  <si>
    <t>Level 1 SFRA Sites Screening Assessment</t>
  </si>
  <si>
    <t>FFN</t>
  </si>
  <si>
    <t>FFS</t>
  </si>
  <si>
    <t>Fiddlers Ferry North</t>
  </si>
  <si>
    <t>Fiddlers Ferry South</t>
  </si>
  <si>
    <t>Mixed use</t>
  </si>
  <si>
    <t>FRA required. Surface water risk will require detailed investigation through drainage strategy</t>
  </si>
  <si>
    <t>Strategic Recommendation C</t>
  </si>
  <si>
    <t>Careful consideration of flood risk from FZ3a. This area appears to be a significant flowpath and should be maintained as such</t>
  </si>
  <si>
    <t>Agree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</si>
</sst>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809]dd\ mmmm\ yyyy;@"/>
    <numFmt numFmtId="165" formatCode="0.000000000"/>
    <numFmt numFmtId="166" formatCode="0.0000000"/>
  </numFmts>
  <fonts count="12" x14ac:knownFonts="1">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rgb="FF002060"/>
      <name val="Arial"/>
      <family val="2"/>
    </font>
    <font>
      <b/>
      <sz val="12"/>
      <name val="Arial"/>
      <family val="2"/>
    </font>
    <font>
      <sz val="10"/>
      <name val="Arial"/>
      <family val="2"/>
    </font>
    <font>
      <b/>
      <sz val="10"/>
      <color rgb="FF002060"/>
      <name val="Arial"/>
      <family val="2"/>
    </font>
    <font>
      <b/>
      <sz val="10"/>
      <color theme="0"/>
      <name val="Arial"/>
      <family val="2"/>
    </font>
    <font>
      <b/>
      <sz val="16"/>
      <name val="Arial"/>
      <family val="2"/>
    </font>
    <font>
      <b/>
      <sz val="16"/>
      <color rgb="FF002060"/>
      <name val="Arial"/>
      <family val="2"/>
    </font>
    <font>
      <b/>
      <sz val="14"/>
      <color rgb="FF002060"/>
      <name val="Arial"/>
      <family val="2"/>
    </font>
  </fonts>
  <fills count="12">
    <fill>
      <patternFill patternType="none"/>
    </fill>
    <fill>
      <patternFill patternType="gray125"/>
    </fill>
    <fill>
      <patternFill patternType="solid">
        <fgColor theme="5"/>
      </patternFill>
    </fill>
    <fill>
      <patternFill patternType="solid">
        <fgColor theme="9" tint="0.59999389629810485"/>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7A0000"/>
        <bgColor indexed="64"/>
      </patternFill>
    </fill>
    <fill>
      <patternFill patternType="solid">
        <fgColor theme="5"/>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2" fillId="4" borderId="0" applyFont="0"/>
  </cellStyleXfs>
  <cellXfs count="53">
    <xf numFmtId="0" fontId="0" fillId="0" borderId="0" xfId="0"/>
    <xf numFmtId="0" fontId="3" fillId="4" borderId="0" xfId="2" applyFont="1"/>
    <xf numFmtId="0" fontId="4" fillId="4" borderId="0" xfId="2" applyFont="1"/>
    <xf numFmtId="164" fontId="5" fillId="4" borderId="0" xfId="2" applyNumberFormat="1" applyFont="1" applyAlignment="1">
      <alignment horizontal="left"/>
    </xf>
    <xf numFmtId="0" fontId="7" fillId="4" borderId="0" xfId="2" applyFont="1"/>
    <xf numFmtId="0" fontId="3" fillId="0" borderId="6" xfId="2" applyFont="1" applyFill="1" applyBorder="1" applyAlignment="1">
      <alignment horizontal="center"/>
    </xf>
    <xf numFmtId="2" fontId="3" fillId="0" borderId="6" xfId="2" applyNumberFormat="1" applyFont="1" applyFill="1" applyBorder="1" applyAlignment="1">
      <alignment horizontal="center"/>
    </xf>
    <xf numFmtId="1" fontId="3" fillId="0" borderId="6" xfId="2" applyNumberFormat="1" applyFont="1" applyFill="1" applyBorder="1" applyAlignment="1">
      <alignment horizontal="center"/>
    </xf>
    <xf numFmtId="0" fontId="2" fillId="6" borderId="6" xfId="2" applyFill="1" applyBorder="1" applyAlignment="1">
      <alignment horizontal="left"/>
    </xf>
    <xf numFmtId="0" fontId="2" fillId="0" borderId="6" xfId="2" applyFill="1" applyBorder="1" applyAlignment="1">
      <alignment horizontal="center"/>
    </xf>
    <xf numFmtId="1" fontId="2" fillId="0" borderId="6" xfId="2" applyNumberFormat="1" applyFill="1" applyBorder="1" applyAlignment="1">
      <alignment horizontal="center"/>
    </xf>
    <xf numFmtId="0" fontId="3" fillId="4" borderId="0" xfId="2" applyFont="1" applyAlignment="1">
      <alignment wrapText="1"/>
    </xf>
    <xf numFmtId="0" fontId="8" fillId="10" borderId="6" xfId="1" applyFont="1" applyFill="1" applyBorder="1" applyAlignment="1">
      <alignment horizontal="center" vertical="center" wrapText="1"/>
    </xf>
    <xf numFmtId="0" fontId="3" fillId="6" borderId="6" xfId="0" applyFont="1" applyFill="1" applyBorder="1"/>
    <xf numFmtId="0" fontId="3" fillId="5" borderId="0" xfId="0" applyFont="1" applyFill="1"/>
    <xf numFmtId="0" fontId="9" fillId="4" borderId="0" xfId="2" applyFont="1"/>
    <xf numFmtId="0" fontId="10" fillId="4" borderId="0" xfId="2" applyFont="1"/>
    <xf numFmtId="0" fontId="3" fillId="0" borderId="0" xfId="0" applyFont="1"/>
    <xf numFmtId="1" fontId="0" fillId="0" borderId="0" xfId="0" applyNumberFormat="1"/>
    <xf numFmtId="0" fontId="6" fillId="5" borderId="0" xfId="0" applyFont="1" applyFill="1" applyAlignment="1">
      <alignment vertical="center" wrapText="1"/>
    </xf>
    <xf numFmtId="0" fontId="2" fillId="5" borderId="0" xfId="2" applyFill="1" applyAlignment="1">
      <alignment horizontal="left"/>
    </xf>
    <xf numFmtId="0" fontId="2" fillId="5" borderId="0" xfId="2" applyFill="1" applyAlignment="1">
      <alignment horizontal="center"/>
    </xf>
    <xf numFmtId="1" fontId="2" fillId="5" borderId="0" xfId="2" applyNumberFormat="1" applyFill="1" applyAlignment="1">
      <alignment horizontal="center"/>
    </xf>
    <xf numFmtId="0" fontId="3" fillId="7" borderId="8" xfId="2" applyFont="1" applyFill="1" applyBorder="1" applyAlignment="1">
      <alignment vertical="center"/>
    </xf>
    <xf numFmtId="0" fontId="3" fillId="8" borderId="9" xfId="2" applyFont="1" applyFill="1" applyBorder="1" applyAlignment="1">
      <alignment vertical="center"/>
    </xf>
    <xf numFmtId="0" fontId="3" fillId="9" borderId="9" xfId="2" applyFont="1" applyFill="1" applyBorder="1" applyAlignment="1">
      <alignment vertical="center"/>
    </xf>
    <xf numFmtId="0" fontId="3" fillId="6" borderId="10" xfId="2" applyFont="1" applyFill="1" applyBorder="1" applyAlignment="1">
      <alignment vertical="center"/>
    </xf>
    <xf numFmtId="0" fontId="11" fillId="4" borderId="0" xfId="2" applyFont="1"/>
    <xf numFmtId="0" fontId="3" fillId="6" borderId="6" xfId="0" applyFont="1" applyFill="1" applyBorder="1" applyAlignment="1">
      <alignment wrapText="1"/>
    </xf>
    <xf numFmtId="0" fontId="3" fillId="11" borderId="9" xfId="2" applyFont="1" applyFill="1" applyBorder="1" applyAlignment="1">
      <alignment vertical="center"/>
    </xf>
    <xf numFmtId="165" fontId="3" fillId="6" borderId="6" xfId="0" applyNumberFormat="1" applyFont="1" applyFill="1" applyBorder="1"/>
    <xf numFmtId="2" fontId="8" fillId="10" borderId="6" xfId="1" applyNumberFormat="1" applyFont="1" applyFill="1" applyBorder="1" applyAlignment="1">
      <alignment horizontal="center" vertical="center" wrapText="1"/>
    </xf>
    <xf numFmtId="0" fontId="3" fillId="0" borderId="6" xfId="2" applyFont="1" applyFill="1" applyBorder="1" applyAlignment="1">
      <alignment horizontal="left"/>
    </xf>
    <xf numFmtId="0" fontId="3" fillId="5" borderId="0" xfId="0" applyFont="1" applyFill="1" applyAlignment="1">
      <alignment wrapText="1"/>
    </xf>
    <xf numFmtId="0" fontId="3" fillId="8" borderId="0" xfId="0" applyFont="1" applyFill="1"/>
    <xf numFmtId="2" fontId="2" fillId="0" borderId="6" xfId="2" applyNumberFormat="1" applyFill="1" applyBorder="1" applyAlignment="1">
      <alignment horizontal="center"/>
    </xf>
    <xf numFmtId="0" fontId="3" fillId="6" borderId="1" xfId="0" applyFont="1" applyFill="1" applyBorder="1" applyAlignment="1">
      <alignment wrapText="1"/>
    </xf>
    <xf numFmtId="2" fontId="3" fillId="6" borderId="6" xfId="0" applyNumberFormat="1" applyFont="1" applyFill="1" applyBorder="1"/>
    <xf numFmtId="166" fontId="3" fillId="3" borderId="0" xfId="0" applyNumberFormat="1" applyFont="1" applyFill="1"/>
    <xf numFmtId="165" fontId="3" fillId="3" borderId="0" xfId="0" applyNumberFormat="1" applyFont="1" applyFill="1"/>
    <xf numFmtId="2" fontId="3" fillId="8" borderId="0" xfId="0" applyNumberFormat="1" applyFont="1" applyFill="1"/>
    <xf numFmtId="0" fontId="8" fillId="10" borderId="1" xfId="1" applyFont="1" applyFill="1" applyBorder="1" applyAlignment="1">
      <alignment horizontal="center" vertical="center" wrapText="1"/>
    </xf>
    <xf numFmtId="2" fontId="0" fillId="0" borderId="0" xfId="0" applyNumberFormat="1"/>
    <xf numFmtId="2" fontId="3" fillId="3" borderId="0" xfId="0" applyNumberFormat="1" applyFont="1" applyFill="1"/>
    <xf numFmtId="2" fontId="3" fillId="0" borderId="0" xfId="0" applyNumberFormat="1" applyFont="1"/>
    <xf numFmtId="2" fontId="0" fillId="8" borderId="0" xfId="0" applyNumberFormat="1" applyFill="1"/>
    <xf numFmtId="0" fontId="8" fillId="10" borderId="1" xfId="1" applyFont="1" applyFill="1" applyBorder="1" applyAlignment="1">
      <alignment horizontal="center" vertical="center" wrapText="1"/>
    </xf>
    <xf numFmtId="0" fontId="8" fillId="10" borderId="2" xfId="1" applyFont="1" applyFill="1" applyBorder="1" applyAlignment="1">
      <alignment horizontal="center" vertical="center" wrapText="1"/>
    </xf>
    <xf numFmtId="0" fontId="8" fillId="10" borderId="3"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8" fillId="10" borderId="6" xfId="1" applyFont="1" applyFill="1" applyBorder="1" applyAlignment="1">
      <alignment horizontal="center" vertical="center" wrapText="1"/>
    </xf>
  </cellXfs>
  <cellStyles count="3">
    <cellStyle name="Accent2" xfId="1" builtinId="33"/>
    <cellStyle name="Normal" xfId="0" builtinId="0"/>
    <cellStyle name="Style 1" xfId="2"/>
  </cellStyles>
  <dxfs count="7">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s>
  <tableStyles count="0" defaultTableStyle="TableStyleMedium2" defaultPivotStyle="PivotStyleLight16"/>
  <colors>
    <mruColors>
      <color rgb="FF9751CB"/>
      <color rgb="FF7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55217</xdr:colOff>
      <xdr:row>1</xdr:row>
      <xdr:rowOff>22012</xdr:rowOff>
    </xdr:from>
    <xdr:to>
      <xdr:col>1</xdr:col>
      <xdr:colOff>1202577</xdr:colOff>
      <xdr:row>7</xdr:row>
      <xdr:rowOff>93223</xdr:rowOff>
    </xdr:to>
    <xdr:pic>
      <xdr:nvPicPr>
        <xdr:cNvPr id="3" name="Picture 1">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305" y="178894"/>
          <a:ext cx="1147360" cy="100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1643061</xdr:colOff>
      <xdr:row>1</xdr:row>
      <xdr:rowOff>32780</xdr:rowOff>
    </xdr:from>
    <xdr:to>
      <xdr:col>3</xdr:col>
      <xdr:colOff>34965</xdr:colOff>
      <xdr:row>7</xdr:row>
      <xdr:rowOff>74612</xdr:rowOff>
    </xdr:to>
    <xdr:pic>
      <xdr:nvPicPr>
        <xdr:cNvPr id="4" name="Picture 3" descr="Image result for warrington borough council">
          <a:extLst>
            <a:ext uri="{FF2B5EF4-FFF2-40B4-BE49-F238E27FC236}">
              <a16:creationId xmlns="" xmlns:a16="http://schemas.microsoft.com/office/drawing/2014/main" id="{61E112F6-6EDC-4A18-AA17-A33BCD5A02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49" y="199468"/>
          <a:ext cx="3454441" cy="1038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166686</xdr:rowOff>
    </xdr:from>
    <xdr:to>
      <xdr:col>8</xdr:col>
      <xdr:colOff>769709</xdr:colOff>
      <xdr:row>73</xdr:row>
      <xdr:rowOff>71436</xdr:rowOff>
    </xdr:to>
    <xdr:pic>
      <xdr:nvPicPr>
        <xdr:cNvPr id="9" name="Picture 8">
          <a:extLst>
            <a:ext uri="{FF2B5EF4-FFF2-40B4-BE49-F238E27FC236}">
              <a16:creationId xmlns="" xmlns:a16="http://schemas.microsoft.com/office/drawing/2014/main" id="{70062B60-F35B-4394-BA3F-31BDE87CFBA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6688" y="6584155"/>
          <a:ext cx="10830490" cy="7572375"/>
        </a:xfrm>
        <a:prstGeom prst="rect">
          <a:avLst/>
        </a:prstGeom>
      </xdr:spPr>
    </xdr:pic>
    <xdr:clientData/>
  </xdr:twoCellAnchor>
  <xdr:twoCellAnchor editAs="oneCell">
    <xdr:from>
      <xdr:col>9</xdr:col>
      <xdr:colOff>0</xdr:colOff>
      <xdr:row>27</xdr:row>
      <xdr:rowOff>166686</xdr:rowOff>
    </xdr:from>
    <xdr:to>
      <xdr:col>20</xdr:col>
      <xdr:colOff>781615</xdr:colOff>
      <xdr:row>73</xdr:row>
      <xdr:rowOff>71436</xdr:rowOff>
    </xdr:to>
    <xdr:pic>
      <xdr:nvPicPr>
        <xdr:cNvPr id="11" name="Picture 10">
          <a:extLst>
            <a:ext uri="{FF2B5EF4-FFF2-40B4-BE49-F238E27FC236}">
              <a16:creationId xmlns="" xmlns:a16="http://schemas.microsoft.com/office/drawing/2014/main" id="{76D084A1-7F31-40D3-8E87-AE1F809F55F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072813" y="6584155"/>
          <a:ext cx="10830490" cy="7572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Y27"/>
  <sheetViews>
    <sheetView tabSelected="1" topLeftCell="U10" zoomScale="80" zoomScaleNormal="80" workbookViewId="0">
      <selection activeCell="X27" sqref="X27"/>
    </sheetView>
  </sheetViews>
  <sheetFormatPr defaultColWidth="9.1796875" defaultRowHeight="12.5" x14ac:dyDescent="0.25"/>
  <cols>
    <col min="1" max="1" width="2.54296875" style="14" customWidth="1"/>
    <col min="2" max="2" width="25.7265625" style="14" customWidth="1"/>
    <col min="3" max="3" width="50.453125" style="14" customWidth="1"/>
    <col min="4" max="4" width="19.7265625" style="14" customWidth="1"/>
    <col min="5" max="5" width="13.81640625" style="14" customWidth="1"/>
    <col min="6" max="6" width="12.7265625" style="14" customWidth="1"/>
    <col min="7" max="7" width="15.81640625" style="14" bestFit="1" customWidth="1"/>
    <col min="8" max="12" width="12.7265625" style="14" customWidth="1"/>
    <col min="13" max="13" width="14.81640625" style="14" bestFit="1" customWidth="1"/>
    <col min="14" max="16" width="12.7265625" style="14" customWidth="1"/>
    <col min="17" max="17" width="14.81640625" style="14" bestFit="1" customWidth="1"/>
    <col min="18" max="19" width="12.7265625" style="14" customWidth="1"/>
    <col min="20" max="20" width="19.7265625" style="14" customWidth="1"/>
    <col min="21" max="21" width="25.54296875" style="14" customWidth="1"/>
    <col min="22" max="22" width="39.453125" style="14" customWidth="1"/>
    <col min="23" max="23" width="78.7265625" style="33" bestFit="1" customWidth="1"/>
    <col min="24" max="24" width="58.7265625" style="1" customWidth="1"/>
    <col min="25" max="25" width="33.54296875" style="14" customWidth="1"/>
    <col min="26" max="16384" width="9.1796875" style="14"/>
  </cols>
  <sheetData>
    <row r="1" spans="2:24" x14ac:dyDescent="0.25">
      <c r="X1" s="14"/>
    </row>
    <row r="2" spans="2:24" x14ac:dyDescent="0.25">
      <c r="X2" s="14"/>
    </row>
    <row r="3" spans="2:24" x14ac:dyDescent="0.25">
      <c r="X3" s="14"/>
    </row>
    <row r="4" spans="2:24" x14ac:dyDescent="0.25">
      <c r="X4" s="14"/>
    </row>
    <row r="5" spans="2:24" x14ac:dyDescent="0.25">
      <c r="X5" s="14"/>
    </row>
    <row r="6" spans="2:24" x14ac:dyDescent="0.25">
      <c r="X6" s="14"/>
    </row>
    <row r="7" spans="2:24" x14ac:dyDescent="0.25">
      <c r="X7" s="14"/>
    </row>
    <row r="8" spans="2:24" ht="18" x14ac:dyDescent="0.4">
      <c r="C8" s="4"/>
      <c r="D8" s="1"/>
      <c r="E8" s="1"/>
      <c r="F8" s="27" t="s">
        <v>6</v>
      </c>
      <c r="G8" s="1"/>
      <c r="H8" s="1"/>
      <c r="I8" s="1"/>
      <c r="J8" s="1"/>
      <c r="K8" s="1"/>
      <c r="L8" s="1"/>
      <c r="M8" s="1"/>
      <c r="N8" s="1"/>
      <c r="O8" s="1"/>
      <c r="P8" s="1"/>
      <c r="Q8" s="1"/>
      <c r="R8" s="1"/>
      <c r="S8" s="1"/>
      <c r="T8" s="1"/>
      <c r="U8" s="1"/>
      <c r="X8" s="14"/>
    </row>
    <row r="9" spans="2:24" ht="20" x14ac:dyDescent="0.4">
      <c r="B9" s="15" t="s">
        <v>49</v>
      </c>
      <c r="C9" s="1"/>
      <c r="D9" s="1"/>
      <c r="E9" s="1"/>
      <c r="F9" s="1"/>
      <c r="G9" s="1"/>
      <c r="H9" s="1"/>
      <c r="I9" s="1"/>
      <c r="J9" s="1"/>
      <c r="K9" s="1"/>
      <c r="L9" s="1"/>
      <c r="M9" s="1"/>
      <c r="N9" s="1"/>
      <c r="O9" s="1"/>
      <c r="P9" s="1"/>
      <c r="Q9" s="1"/>
      <c r="R9" s="1"/>
      <c r="S9" s="1"/>
      <c r="T9" s="1"/>
      <c r="U9" s="1"/>
      <c r="X9" s="14"/>
    </row>
    <row r="10" spans="2:24" ht="24" customHeight="1" x14ac:dyDescent="0.4">
      <c r="B10" s="16" t="s">
        <v>51</v>
      </c>
      <c r="C10" s="1"/>
      <c r="D10" s="1"/>
      <c r="E10" s="1"/>
      <c r="F10" s="46" t="s">
        <v>46</v>
      </c>
      <c r="G10" s="47"/>
      <c r="H10" s="47"/>
      <c r="I10" s="47"/>
      <c r="J10" s="47"/>
      <c r="K10" s="47"/>
      <c r="L10" s="47"/>
      <c r="M10" s="48"/>
      <c r="N10" s="46" t="s">
        <v>31</v>
      </c>
      <c r="O10" s="47"/>
      <c r="P10" s="47"/>
      <c r="Q10" s="47"/>
      <c r="R10" s="47"/>
      <c r="S10" s="48"/>
      <c r="T10" s="1"/>
      <c r="U10" s="1"/>
      <c r="X10" s="14"/>
    </row>
    <row r="11" spans="2:24" ht="34.5" customHeight="1" x14ac:dyDescent="0.35">
      <c r="B11" s="3">
        <v>44357</v>
      </c>
      <c r="C11" s="1"/>
      <c r="D11" s="1"/>
      <c r="E11" s="1"/>
      <c r="F11" s="46" t="s">
        <v>8</v>
      </c>
      <c r="G11" s="48"/>
      <c r="H11" s="46" t="s">
        <v>9</v>
      </c>
      <c r="I11" s="48"/>
      <c r="J11" s="46" t="s">
        <v>10</v>
      </c>
      <c r="K11" s="48"/>
      <c r="L11" s="46" t="s">
        <v>11</v>
      </c>
      <c r="M11" s="48"/>
      <c r="N11" s="46" t="s">
        <v>34</v>
      </c>
      <c r="O11" s="48"/>
      <c r="P11" s="46" t="s">
        <v>33</v>
      </c>
      <c r="Q11" s="48"/>
      <c r="R11" s="46" t="s">
        <v>32</v>
      </c>
      <c r="S11" s="48"/>
      <c r="T11" s="1"/>
      <c r="U11" s="1"/>
      <c r="X11" s="14"/>
    </row>
    <row r="12" spans="2:24" ht="30" customHeight="1" x14ac:dyDescent="0.25">
      <c r="C12" s="12" t="s">
        <v>45</v>
      </c>
      <c r="D12" s="12" t="s">
        <v>12</v>
      </c>
      <c r="E12" s="12" t="s">
        <v>13</v>
      </c>
      <c r="F12" s="12" t="s">
        <v>13</v>
      </c>
      <c r="G12" s="12" t="s">
        <v>14</v>
      </c>
      <c r="H12" s="12" t="s">
        <v>13</v>
      </c>
      <c r="I12" s="12" t="s">
        <v>15</v>
      </c>
      <c r="J12" s="12" t="s">
        <v>13</v>
      </c>
      <c r="K12" s="12" t="s">
        <v>15</v>
      </c>
      <c r="L12" s="12" t="s">
        <v>13</v>
      </c>
      <c r="M12" s="12" t="s">
        <v>15</v>
      </c>
      <c r="N12" s="12" t="s">
        <v>13</v>
      </c>
      <c r="O12" s="12" t="s">
        <v>15</v>
      </c>
      <c r="P12" s="12" t="s">
        <v>13</v>
      </c>
      <c r="Q12" s="12" t="s">
        <v>15</v>
      </c>
      <c r="R12" s="12" t="s">
        <v>13</v>
      </c>
      <c r="S12" s="12" t="s">
        <v>15</v>
      </c>
      <c r="T12" s="1"/>
      <c r="U12" s="1"/>
      <c r="X12" s="14"/>
    </row>
    <row r="13" spans="2:24" x14ac:dyDescent="0.25">
      <c r="C13" s="32" t="s">
        <v>56</v>
      </c>
      <c r="D13" s="5">
        <f>COUNTIF($D$26:$D$27, "Mixed use")</f>
        <v>2</v>
      </c>
      <c r="E13" s="6">
        <f>SUMIF($D$26:$D$27, "Mixed use", $E$26:$E$27)</f>
        <v>329.83199999999999</v>
      </c>
      <c r="F13" s="6">
        <f>SUMIF($D$26:$D$27, "Mixed use", $F$26:$F$27)</f>
        <v>324.67200000000003</v>
      </c>
      <c r="G13" s="7">
        <f>COUNTIFS($D$26:$D$27, "Mixed use", $G$26:$G$27, "=100")</f>
        <v>0</v>
      </c>
      <c r="H13" s="6">
        <f>SUMIF($D$26:$D$27, "Mixed use", $H$26:$H$27)</f>
        <v>2.3899999999999997</v>
      </c>
      <c r="I13" s="7">
        <f>COUNTIFS($D$26:$D$27, "Mixed use", $I$26:$I$27, "&gt;0")</f>
        <v>2</v>
      </c>
      <c r="J13" s="6">
        <f>SUMIF($D$26:$D$27, "Mixed use", $J$26:$J$27)</f>
        <v>2.77</v>
      </c>
      <c r="K13" s="7">
        <f>COUNTIFS($D$26:$D$27, "Mixed use", $K$26:$K$27, "&gt;0")</f>
        <v>1</v>
      </c>
      <c r="L13" s="6">
        <f>SUMIF($D$26:$D$27, "Mixed use", $L$26:$L$27)</f>
        <v>0</v>
      </c>
      <c r="M13" s="7">
        <f>COUNTIFS($D$26:$D$27, "Mixed use", $M$26:$M$27, "&gt;0")</f>
        <v>0</v>
      </c>
      <c r="N13" s="6">
        <f>SUMIF($D$26:$D$27, "Mixed use", $N$26:$N$27)</f>
        <v>26.89</v>
      </c>
      <c r="O13" s="5">
        <f>COUNTIFS($D$26:$D$27, "Mixed use", $O$26:$O$27, "&gt;0")</f>
        <v>2</v>
      </c>
      <c r="P13" s="6">
        <f>SUMIF($D$26:$D$27, "Mixed use", $P$26:$P$27)</f>
        <v>8.629999999999999</v>
      </c>
      <c r="Q13" s="5">
        <f>COUNTIFS($D$26:$D$27, "Mixed use", $Q$26:$Q$27, "&gt;0")</f>
        <v>2</v>
      </c>
      <c r="R13" s="6">
        <f>SUMIF($D$26:$D$27, "Mixed use", $R$26:$R$27)</f>
        <v>4.4379999999999997</v>
      </c>
      <c r="S13" s="5">
        <f>COUNTIFS($D$26:$D$27, "Mixed use", $S$26:$S$27, "&gt;0")</f>
        <v>2</v>
      </c>
      <c r="T13" s="1"/>
      <c r="U13" s="1"/>
      <c r="X13" s="14"/>
    </row>
    <row r="14" spans="2:24" ht="13" x14ac:dyDescent="0.3">
      <c r="C14" s="8" t="s">
        <v>17</v>
      </c>
      <c r="D14" s="9">
        <f t="shared" ref="D14:S14" si="0">SUM(D13:D13)</f>
        <v>2</v>
      </c>
      <c r="E14" s="35">
        <f t="shared" si="0"/>
        <v>329.83199999999999</v>
      </c>
      <c r="F14" s="35">
        <f t="shared" si="0"/>
        <v>324.67200000000003</v>
      </c>
      <c r="G14" s="10">
        <f t="shared" si="0"/>
        <v>0</v>
      </c>
      <c r="H14" s="35">
        <f t="shared" si="0"/>
        <v>2.3899999999999997</v>
      </c>
      <c r="I14" s="9">
        <f t="shared" si="0"/>
        <v>2</v>
      </c>
      <c r="J14" s="9">
        <f t="shared" si="0"/>
        <v>2.77</v>
      </c>
      <c r="K14" s="9">
        <f t="shared" si="0"/>
        <v>1</v>
      </c>
      <c r="L14" s="35">
        <f t="shared" si="0"/>
        <v>0</v>
      </c>
      <c r="M14" s="9">
        <f t="shared" si="0"/>
        <v>0</v>
      </c>
      <c r="N14" s="35">
        <f t="shared" si="0"/>
        <v>26.89</v>
      </c>
      <c r="O14" s="9">
        <f t="shared" si="0"/>
        <v>2</v>
      </c>
      <c r="P14" s="35">
        <f t="shared" si="0"/>
        <v>8.629999999999999</v>
      </c>
      <c r="Q14" s="9">
        <f t="shared" si="0"/>
        <v>2</v>
      </c>
      <c r="R14" s="35">
        <f t="shared" si="0"/>
        <v>4.4379999999999997</v>
      </c>
      <c r="S14" s="9">
        <f t="shared" si="0"/>
        <v>2</v>
      </c>
      <c r="T14" s="1"/>
      <c r="U14" s="1"/>
      <c r="X14" s="14"/>
    </row>
    <row r="15" spans="2:24" ht="13" x14ac:dyDescent="0.3">
      <c r="C15" s="20"/>
      <c r="D15" s="21"/>
      <c r="E15" s="22"/>
      <c r="F15" s="22"/>
      <c r="G15" s="22"/>
      <c r="H15" s="22"/>
      <c r="I15" s="22"/>
      <c r="J15" s="22"/>
      <c r="K15" s="22"/>
      <c r="X15" s="14"/>
    </row>
    <row r="16" spans="2:24" ht="13" x14ac:dyDescent="0.3">
      <c r="B16" s="19"/>
      <c r="D16" s="21"/>
      <c r="E16" s="22"/>
      <c r="F16" s="22"/>
      <c r="G16" s="22"/>
      <c r="H16" s="22"/>
      <c r="I16" s="22"/>
      <c r="J16" s="22"/>
      <c r="K16" s="22"/>
      <c r="X16" s="14"/>
    </row>
    <row r="17" spans="2:25" x14ac:dyDescent="0.25">
      <c r="C17" s="19"/>
      <c r="X17" s="14"/>
    </row>
    <row r="18" spans="2:25" ht="16" thickBot="1" x14ac:dyDescent="0.4">
      <c r="B18" s="2" t="s">
        <v>16</v>
      </c>
      <c r="C18" s="19"/>
      <c r="X18" s="14"/>
    </row>
    <row r="19" spans="2:25" ht="14.25" customHeight="1" x14ac:dyDescent="0.25">
      <c r="B19" s="23" t="s">
        <v>11</v>
      </c>
      <c r="C19" s="49" t="s">
        <v>7</v>
      </c>
      <c r="X19" s="14"/>
    </row>
    <row r="20" spans="2:25" ht="15" customHeight="1" x14ac:dyDescent="0.25">
      <c r="B20" s="29" t="s">
        <v>10</v>
      </c>
      <c r="C20" s="50"/>
      <c r="X20" s="14"/>
    </row>
    <row r="21" spans="2:25" ht="18" x14ac:dyDescent="0.4">
      <c r="B21" s="24" t="s">
        <v>9</v>
      </c>
      <c r="C21" s="50"/>
      <c r="F21" s="27" t="s">
        <v>18</v>
      </c>
      <c r="X21" s="14"/>
    </row>
    <row r="22" spans="2:25" ht="15" customHeight="1" x14ac:dyDescent="0.25">
      <c r="B22" s="25" t="s">
        <v>19</v>
      </c>
      <c r="C22" s="50"/>
      <c r="X22" s="14"/>
    </row>
    <row r="23" spans="2:25" ht="18.75" customHeight="1" thickBot="1" x14ac:dyDescent="0.3">
      <c r="B23" s="26" t="s">
        <v>8</v>
      </c>
      <c r="C23" s="51"/>
      <c r="F23" s="52" t="s">
        <v>46</v>
      </c>
      <c r="G23" s="52"/>
      <c r="H23" s="52"/>
      <c r="I23" s="52"/>
      <c r="J23" s="52"/>
      <c r="K23" s="52"/>
      <c r="L23" s="52"/>
      <c r="M23" s="52"/>
      <c r="N23" s="52" t="s">
        <v>31</v>
      </c>
      <c r="O23" s="52"/>
      <c r="P23" s="52"/>
      <c r="Q23" s="52"/>
      <c r="R23" s="52"/>
      <c r="S23" s="52"/>
      <c r="V23" s="11"/>
      <c r="W23" s="11"/>
      <c r="X23" s="11"/>
    </row>
    <row r="24" spans="2:25" ht="30" customHeight="1" x14ac:dyDescent="0.25">
      <c r="F24" s="52" t="s">
        <v>8</v>
      </c>
      <c r="G24" s="52"/>
      <c r="H24" s="52" t="s">
        <v>9</v>
      </c>
      <c r="I24" s="52"/>
      <c r="J24" s="52" t="s">
        <v>10</v>
      </c>
      <c r="K24" s="52"/>
      <c r="L24" s="52" t="s">
        <v>11</v>
      </c>
      <c r="M24" s="52"/>
      <c r="N24" s="46" t="s">
        <v>34</v>
      </c>
      <c r="O24" s="48"/>
      <c r="P24" s="46" t="s">
        <v>33</v>
      </c>
      <c r="Q24" s="48"/>
      <c r="R24" s="46" t="s">
        <v>32</v>
      </c>
      <c r="S24" s="48"/>
      <c r="V24" s="11"/>
      <c r="W24" s="11"/>
      <c r="X24" s="11"/>
    </row>
    <row r="25" spans="2:25" ht="33" customHeight="1" x14ac:dyDescent="0.25">
      <c r="B25" s="12" t="s">
        <v>20</v>
      </c>
      <c r="C25" s="12" t="s">
        <v>21</v>
      </c>
      <c r="D25" s="12" t="s">
        <v>45</v>
      </c>
      <c r="E25" s="12" t="s">
        <v>13</v>
      </c>
      <c r="F25" s="12" t="s">
        <v>13</v>
      </c>
      <c r="G25" s="12" t="s">
        <v>22</v>
      </c>
      <c r="H25" s="12" t="s">
        <v>13</v>
      </c>
      <c r="I25" s="12" t="s">
        <v>22</v>
      </c>
      <c r="J25" s="12" t="s">
        <v>13</v>
      </c>
      <c r="K25" s="31" t="s">
        <v>22</v>
      </c>
      <c r="L25" s="12" t="s">
        <v>13</v>
      </c>
      <c r="M25" s="12" t="s">
        <v>22</v>
      </c>
      <c r="N25" s="12" t="s">
        <v>13</v>
      </c>
      <c r="O25" s="12" t="s">
        <v>22</v>
      </c>
      <c r="P25" s="12" t="s">
        <v>13</v>
      </c>
      <c r="Q25" s="12" t="s">
        <v>22</v>
      </c>
      <c r="R25" s="12" t="s">
        <v>13</v>
      </c>
      <c r="S25" s="12" t="s">
        <v>22</v>
      </c>
      <c r="T25" s="12" t="s">
        <v>29</v>
      </c>
      <c r="U25" s="12" t="s">
        <v>35</v>
      </c>
      <c r="V25" s="12" t="s">
        <v>30</v>
      </c>
      <c r="W25" s="41" t="s">
        <v>44</v>
      </c>
      <c r="X25" s="12" t="s">
        <v>36</v>
      </c>
    </row>
    <row r="26" spans="2:25" ht="34.5" customHeight="1" x14ac:dyDescent="0.25">
      <c r="B26" s="13" t="str">
        <f>Calculations!A2</f>
        <v>FFN</v>
      </c>
      <c r="C26" s="13" t="str">
        <f>Calculations!B2</f>
        <v>Fiddlers Ferry North</v>
      </c>
      <c r="D26" s="13" t="str">
        <f>Calculations!C2</f>
        <v>Mixed use</v>
      </c>
      <c r="E26" s="37">
        <f>Calculations!D2</f>
        <v>163.566</v>
      </c>
      <c r="F26" s="37">
        <f>Calculations!H2</f>
        <v>163.46600000000001</v>
      </c>
      <c r="G26" s="37">
        <f>Calculations!L2</f>
        <v>99.938862599806811</v>
      </c>
      <c r="H26" s="37">
        <f>Calculations!G2</f>
        <v>0.1</v>
      </c>
      <c r="I26" s="37">
        <f>Calculations!K2</f>
        <v>6.1137400193194184E-2</v>
      </c>
      <c r="J26" s="37">
        <f>Calculations!F2</f>
        <v>0</v>
      </c>
      <c r="K26" s="37">
        <f>Calculations!J2</f>
        <v>0</v>
      </c>
      <c r="L26" s="37">
        <f>Calculations!E2</f>
        <v>0</v>
      </c>
      <c r="M26" s="37">
        <f>Calculations!I2</f>
        <v>0</v>
      </c>
      <c r="N26" s="37">
        <f>Calculations!O2</f>
        <v>23.88</v>
      </c>
      <c r="O26" s="37">
        <f>Calculations!R2</f>
        <v>14.599611166134771</v>
      </c>
      <c r="P26" s="37">
        <f>Calculations!N2</f>
        <v>8.1</v>
      </c>
      <c r="Q26" s="37">
        <f>Calculations!Q2</f>
        <v>4.952129415648729</v>
      </c>
      <c r="R26" s="37">
        <f>Calculations!M2</f>
        <v>4.43</v>
      </c>
      <c r="S26" s="37">
        <f>Calculations!P2</f>
        <v>2.7083868285585022</v>
      </c>
      <c r="T26" s="30" t="s">
        <v>47</v>
      </c>
      <c r="U26" s="30" t="s">
        <v>48</v>
      </c>
      <c r="V26" s="28" t="s">
        <v>50</v>
      </c>
      <c r="W26" s="36" t="s">
        <v>57</v>
      </c>
      <c r="X26" s="13" t="s">
        <v>60</v>
      </c>
    </row>
    <row r="27" spans="2:25" ht="25" x14ac:dyDescent="0.25">
      <c r="B27" s="13" t="str">
        <f>Calculations!A3</f>
        <v>FFS</v>
      </c>
      <c r="C27" s="13" t="str">
        <f>Calculations!B3</f>
        <v>Fiddlers Ferry South</v>
      </c>
      <c r="D27" s="13" t="str">
        <f>Calculations!C3</f>
        <v>Mixed use</v>
      </c>
      <c r="E27" s="37">
        <f>Calculations!D3</f>
        <v>166.26599999999999</v>
      </c>
      <c r="F27" s="37">
        <f>Calculations!H3</f>
        <v>161.20599999999999</v>
      </c>
      <c r="G27" s="37">
        <f>Calculations!L3</f>
        <v>96.956683868018715</v>
      </c>
      <c r="H27" s="37">
        <f>Calculations!G3</f>
        <v>2.2899999999999996</v>
      </c>
      <c r="I27" s="37">
        <f>Calculations!K3</f>
        <v>1.3773110557780903</v>
      </c>
      <c r="J27" s="37">
        <f>Calculations!F3</f>
        <v>2.77</v>
      </c>
      <c r="K27" s="37">
        <f>Calculations!J3</f>
        <v>1.6660050762031926</v>
      </c>
      <c r="L27" s="37">
        <f>Calculations!E3</f>
        <v>0</v>
      </c>
      <c r="M27" s="37">
        <f>Calculations!I3</f>
        <v>0</v>
      </c>
      <c r="N27" s="37">
        <f>Calculations!O3</f>
        <v>3.01</v>
      </c>
      <c r="O27" s="37">
        <f>Calculations!R3</f>
        <v>1.8103520864157434</v>
      </c>
      <c r="P27" s="37">
        <f>Calculations!N3</f>
        <v>0.53</v>
      </c>
      <c r="Q27" s="37">
        <f>Calculations!Q3</f>
        <v>0.31876631421938345</v>
      </c>
      <c r="R27" s="37">
        <f>Calculations!M3</f>
        <v>8.0000000000000002E-3</v>
      </c>
      <c r="S27" s="37">
        <f>Calculations!P3</f>
        <v>4.8115670070850332E-3</v>
      </c>
      <c r="T27" s="30" t="s">
        <v>47</v>
      </c>
      <c r="U27" s="30" t="s">
        <v>48</v>
      </c>
      <c r="V27" s="28" t="s">
        <v>58</v>
      </c>
      <c r="W27" s="36" t="s">
        <v>59</v>
      </c>
      <c r="X27" s="28" t="s">
        <v>60</v>
      </c>
      <c r="Y27" s="33"/>
    </row>
  </sheetData>
  <autoFilter ref="B25:W27"/>
  <mergeCells count="19">
    <mergeCell ref="C19:C23"/>
    <mergeCell ref="F23:M23"/>
    <mergeCell ref="N23:S23"/>
    <mergeCell ref="F24:G24"/>
    <mergeCell ref="H24:I24"/>
    <mergeCell ref="J24:K24"/>
    <mergeCell ref="L24:M24"/>
    <mergeCell ref="N24:O24"/>
    <mergeCell ref="P24:Q24"/>
    <mergeCell ref="R24:S24"/>
    <mergeCell ref="F10:M10"/>
    <mergeCell ref="N10:S10"/>
    <mergeCell ref="F11:G11"/>
    <mergeCell ref="H11:I11"/>
    <mergeCell ref="J11:K11"/>
    <mergeCell ref="L11:M11"/>
    <mergeCell ref="N11:O11"/>
    <mergeCell ref="P11:Q11"/>
    <mergeCell ref="R11:S11"/>
  </mergeCells>
  <conditionalFormatting sqref="B26:X27">
    <cfRule type="expression" dxfId="6" priority="188">
      <formula>$M26&gt;0</formula>
    </cfRule>
    <cfRule type="expression" dxfId="5" priority="189">
      <formula>#REF!&gt;0</formula>
    </cfRule>
    <cfRule type="expression" dxfId="4" priority="190">
      <formula>$K26&gt;0</formula>
    </cfRule>
    <cfRule type="expression" dxfId="3" priority="191">
      <formula>$I26&gt;0</formula>
    </cfRule>
    <cfRule type="expression" dxfId="2" priority="192">
      <formula>$O26&gt;0</formula>
    </cfRule>
    <cfRule type="expression" dxfId="1" priority="193">
      <formula>$Q26&gt;0</formula>
    </cfRule>
    <cfRule type="expression" dxfId="0" priority="194">
      <formula>$S26&gt;0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
  <sheetViews>
    <sheetView zoomScale="90" zoomScaleNormal="90" workbookViewId="0">
      <pane xSplit="4" topLeftCell="E1" activePane="topRight" state="frozen"/>
      <selection pane="topRight" activeCell="O4" sqref="O4"/>
    </sheetView>
  </sheetViews>
  <sheetFormatPr defaultColWidth="9.1796875" defaultRowHeight="12.5" x14ac:dyDescent="0.25"/>
  <cols>
    <col min="1" max="1" width="9.7265625" style="17" bestFit="1" customWidth="1"/>
    <col min="2" max="2" width="19" style="17" bestFit="1" customWidth="1"/>
    <col min="3" max="3" width="17" style="17" customWidth="1"/>
    <col min="4" max="4" width="18.54296875" style="17" bestFit="1" customWidth="1"/>
    <col min="5" max="6" width="12.81640625" style="17" bestFit="1" customWidth="1"/>
    <col min="7" max="7" width="11.81640625" style="17" bestFit="1" customWidth="1"/>
    <col min="8" max="8" width="16.54296875" style="17" bestFit="1" customWidth="1"/>
    <col min="9" max="9" width="13.26953125" style="38" customWidth="1"/>
    <col min="10" max="11" width="14.54296875" style="38" bestFit="1" customWidth="1"/>
    <col min="12" max="12" width="14.453125" style="38" customWidth="1"/>
    <col min="13" max="13" width="19" style="17" bestFit="1" customWidth="1"/>
    <col min="14" max="14" width="20" style="17" bestFit="1" customWidth="1"/>
    <col min="15" max="15" width="21.1796875" style="17" bestFit="1" customWidth="1"/>
    <col min="16" max="16" width="16.26953125" style="39" bestFit="1" customWidth="1"/>
    <col min="17" max="17" width="17.26953125" style="39" bestFit="1" customWidth="1"/>
    <col min="18" max="18" width="21.81640625" style="39" customWidth="1"/>
    <col min="19" max="19" width="9.1796875" style="17"/>
    <col min="20" max="20" width="15.453125" style="17" bestFit="1" customWidth="1"/>
    <col min="21" max="21" width="13.1796875" style="17" bestFit="1" customWidth="1"/>
    <col min="22" max="16384" width="9.1796875" style="17"/>
  </cols>
  <sheetData>
    <row r="1" spans="1:22" x14ac:dyDescent="0.25">
      <c r="A1" s="17" t="s">
        <v>0</v>
      </c>
      <c r="B1" s="17" t="s">
        <v>27</v>
      </c>
      <c r="C1" s="17" t="s">
        <v>1</v>
      </c>
      <c r="D1" s="17" t="s">
        <v>2</v>
      </c>
      <c r="E1" s="17" t="s">
        <v>26</v>
      </c>
      <c r="F1" s="17" t="s">
        <v>24</v>
      </c>
      <c r="G1" s="17" t="s">
        <v>25</v>
      </c>
      <c r="H1" s="17" t="s">
        <v>28</v>
      </c>
      <c r="I1" s="38" t="s">
        <v>3</v>
      </c>
      <c r="J1" s="38" t="s">
        <v>4</v>
      </c>
      <c r="K1" s="38" t="s">
        <v>5</v>
      </c>
      <c r="L1" s="38" t="s">
        <v>23</v>
      </c>
      <c r="M1" s="17" t="s">
        <v>38</v>
      </c>
      <c r="N1" s="17" t="s">
        <v>39</v>
      </c>
      <c r="O1" s="17" t="s">
        <v>40</v>
      </c>
      <c r="P1" s="39" t="s">
        <v>41</v>
      </c>
      <c r="Q1" s="39" t="s">
        <v>42</v>
      </c>
      <c r="R1" s="39" t="s">
        <v>43</v>
      </c>
      <c r="T1" s="34" t="s">
        <v>37</v>
      </c>
      <c r="U1" s="34" t="s">
        <v>37</v>
      </c>
    </row>
    <row r="2" spans="1:22" ht="14.5" x14ac:dyDescent="0.35">
      <c r="A2" s="18" t="s">
        <v>52</v>
      </c>
      <c r="B2" s="18" t="s">
        <v>54</v>
      </c>
      <c r="C2" s="18" t="s">
        <v>56</v>
      </c>
      <c r="D2" s="42">
        <v>163.566</v>
      </c>
      <c r="E2" s="42">
        <v>0</v>
      </c>
      <c r="F2" s="42">
        <v>0</v>
      </c>
      <c r="G2" s="42">
        <f>0.1-F2</f>
        <v>0.1</v>
      </c>
      <c r="H2" s="42">
        <f>D2-E2-F2-G2</f>
        <v>163.46600000000001</v>
      </c>
      <c r="I2" s="43">
        <f>E2/D2*100</f>
        <v>0</v>
      </c>
      <c r="J2" s="43">
        <f>F2/D2*100</f>
        <v>0</v>
      </c>
      <c r="K2" s="43">
        <f>G2/D2*100</f>
        <v>6.1137400193194184E-2</v>
      </c>
      <c r="L2" s="43">
        <f>H2/D2*100</f>
        <v>99.938862599806811</v>
      </c>
      <c r="M2" s="42">
        <v>4.43</v>
      </c>
      <c r="N2" s="42">
        <v>8.1</v>
      </c>
      <c r="O2" s="42">
        <v>23.88</v>
      </c>
      <c r="P2" s="43">
        <f>M2/D2*100</f>
        <v>2.7083868285585022</v>
      </c>
      <c r="Q2" s="43">
        <f>N2/D2*100</f>
        <v>4.952129415648729</v>
      </c>
      <c r="R2" s="43">
        <f>O2/D2*100</f>
        <v>14.599611166134771</v>
      </c>
      <c r="S2" s="44"/>
      <c r="T2" s="40">
        <f>SUM(I2:L2)</f>
        <v>100</v>
      </c>
      <c r="U2" s="40">
        <f>SUM(P2:Q2,R2)</f>
        <v>22.260127410342001</v>
      </c>
      <c r="V2" s="44"/>
    </row>
    <row r="3" spans="1:22" ht="14.5" x14ac:dyDescent="0.35">
      <c r="A3" s="18" t="s">
        <v>53</v>
      </c>
      <c r="B3" s="18" t="s">
        <v>55</v>
      </c>
      <c r="C3" s="18" t="s">
        <v>56</v>
      </c>
      <c r="D3" s="42">
        <v>166.26599999999999</v>
      </c>
      <c r="E3" s="42">
        <v>0</v>
      </c>
      <c r="F3" s="42">
        <f>2.77-E3</f>
        <v>2.77</v>
      </c>
      <c r="G3" s="42">
        <f>5.06-F3</f>
        <v>2.2899999999999996</v>
      </c>
      <c r="H3" s="42">
        <f t="shared" ref="H3" si="0">D3-E3-F3-G3</f>
        <v>161.20599999999999</v>
      </c>
      <c r="I3" s="43">
        <f t="shared" ref="I3" si="1">E3/D3*100</f>
        <v>0</v>
      </c>
      <c r="J3" s="43">
        <f t="shared" ref="J3" si="2">F3/D3*100</f>
        <v>1.6660050762031926</v>
      </c>
      <c r="K3" s="43">
        <f t="shared" ref="K3" si="3">G3/D3*100</f>
        <v>1.3773110557780903</v>
      </c>
      <c r="L3" s="43">
        <f t="shared" ref="L3" si="4">H3/D3*100</f>
        <v>96.956683868018715</v>
      </c>
      <c r="M3" s="42">
        <v>8.0000000000000002E-3</v>
      </c>
      <c r="N3" s="42">
        <v>0.53</v>
      </c>
      <c r="O3" s="42">
        <v>3.01</v>
      </c>
      <c r="P3" s="43">
        <f>M3/D3*100</f>
        <v>4.8115670070850332E-3</v>
      </c>
      <c r="Q3" s="43">
        <f>N3/D3*100</f>
        <v>0.31876631421938345</v>
      </c>
      <c r="R3" s="43">
        <f>O3/D3*100</f>
        <v>1.8103520864157434</v>
      </c>
      <c r="S3" s="44"/>
      <c r="T3" s="40">
        <f>SUM(I3:L3)</f>
        <v>100</v>
      </c>
      <c r="U3" s="40">
        <f>SUM(P3:Q3,R3)</f>
        <v>2.1339299676422119</v>
      </c>
      <c r="V3" s="44"/>
    </row>
    <row r="4" spans="1:22" x14ac:dyDescent="0.25">
      <c r="E4" s="44"/>
      <c r="F4" s="44"/>
      <c r="G4" s="44"/>
      <c r="H4" s="44"/>
      <c r="I4" s="43"/>
      <c r="J4" s="43"/>
      <c r="K4" s="43"/>
      <c r="L4" s="43"/>
      <c r="M4" s="44"/>
      <c r="N4" s="44"/>
      <c r="O4" s="44"/>
      <c r="P4" s="43"/>
      <c r="Q4" s="43"/>
      <c r="R4" s="43"/>
      <c r="S4" s="44"/>
      <c r="T4" s="44"/>
      <c r="U4" s="44"/>
      <c r="V4" s="44"/>
    </row>
    <row r="5" spans="1:22" ht="14.5" x14ac:dyDescent="0.35">
      <c r="E5" s="44"/>
      <c r="F5" s="44"/>
      <c r="G5" s="44"/>
      <c r="H5" s="45" t="s">
        <v>37</v>
      </c>
      <c r="I5" s="40">
        <f t="shared" ref="I5:O5" si="5">MIN(I1:I3)</f>
        <v>0</v>
      </c>
      <c r="J5" s="40">
        <f t="shared" si="5"/>
        <v>0</v>
      </c>
      <c r="K5" s="40">
        <f t="shared" si="5"/>
        <v>6.1137400193194184E-2</v>
      </c>
      <c r="L5" s="40">
        <f t="shared" si="5"/>
        <v>96.956683868018715</v>
      </c>
      <c r="M5" s="40">
        <f t="shared" si="5"/>
        <v>8.0000000000000002E-3</v>
      </c>
      <c r="N5" s="40">
        <f t="shared" si="5"/>
        <v>0.53</v>
      </c>
      <c r="O5" s="40">
        <f t="shared" si="5"/>
        <v>3.01</v>
      </c>
      <c r="P5" s="40">
        <f>MIN(P1:P3)</f>
        <v>4.8115670070850332E-3</v>
      </c>
      <c r="Q5" s="40">
        <f>MIN(Q1:Q3)</f>
        <v>0.31876631421938345</v>
      </c>
      <c r="R5" s="40">
        <f>MIN(R1:R3)</f>
        <v>1.8103520864157434</v>
      </c>
      <c r="S5" s="45"/>
      <c r="T5" s="45"/>
      <c r="U5" s="40">
        <f>SUM(P5:R5)</f>
        <v>2.1339299676422119</v>
      </c>
      <c r="V5" s="44"/>
    </row>
    <row r="6" spans="1:22" ht="14.5" x14ac:dyDescent="0.35">
      <c r="E6" s="44"/>
      <c r="F6" s="44"/>
      <c r="G6" s="44"/>
      <c r="H6" s="45" t="s">
        <v>37</v>
      </c>
      <c r="I6" s="40">
        <f>MAX(I2:I3)</f>
        <v>0</v>
      </c>
      <c r="J6" s="40">
        <f t="shared" ref="J6:L6" si="6">MAX(J2:J3)</f>
        <v>1.6660050762031926</v>
      </c>
      <c r="K6" s="40">
        <f t="shared" si="6"/>
        <v>1.3773110557780903</v>
      </c>
      <c r="L6" s="40">
        <f t="shared" si="6"/>
        <v>99.938862599806811</v>
      </c>
      <c r="M6" s="40">
        <f t="shared" ref="M6:R6" si="7">MAX(M1:M3)</f>
        <v>4.43</v>
      </c>
      <c r="N6" s="40">
        <f t="shared" si="7"/>
        <v>8.1</v>
      </c>
      <c r="O6" s="40">
        <f t="shared" si="7"/>
        <v>23.88</v>
      </c>
      <c r="P6" s="45">
        <f t="shared" si="7"/>
        <v>2.7083868285585022</v>
      </c>
      <c r="Q6" s="45">
        <f t="shared" si="7"/>
        <v>4.952129415648729</v>
      </c>
      <c r="R6" s="45">
        <f t="shared" si="7"/>
        <v>14.599611166134771</v>
      </c>
      <c r="S6" s="45"/>
      <c r="T6" s="45">
        <f>MAX(T1:T3)</f>
        <v>100</v>
      </c>
      <c r="U6" s="45">
        <f>MAX(U1:U3)</f>
        <v>22.260127410342001</v>
      </c>
      <c r="V6" s="44"/>
    </row>
    <row r="7" spans="1:22" x14ac:dyDescent="0.25">
      <c r="E7" s="44"/>
      <c r="F7" s="44"/>
      <c r="G7" s="44"/>
      <c r="H7" s="44"/>
      <c r="I7" s="43"/>
      <c r="J7" s="43"/>
      <c r="K7" s="43"/>
      <c r="L7" s="43"/>
      <c r="M7" s="44"/>
      <c r="N7" s="44"/>
      <c r="O7" s="44"/>
      <c r="P7" s="43"/>
      <c r="Q7" s="43"/>
      <c r="R7" s="43"/>
      <c r="S7" s="44"/>
      <c r="T7" s="44"/>
      <c r="U7" s="44"/>
      <c r="V7" s="44"/>
    </row>
    <row r="8" spans="1:22" x14ac:dyDescent="0.25">
      <c r="E8" s="44"/>
      <c r="F8" s="44"/>
      <c r="G8" s="44"/>
      <c r="H8" s="44"/>
      <c r="I8" s="43"/>
      <c r="J8" s="43"/>
      <c r="K8" s="43"/>
      <c r="L8" s="43"/>
      <c r="M8" s="44"/>
      <c r="N8" s="44"/>
      <c r="O8" s="44"/>
      <c r="P8" s="43"/>
      <c r="Q8" s="43"/>
      <c r="R8" s="43"/>
      <c r="S8" s="44"/>
      <c r="T8" s="44"/>
      <c r="U8" s="44"/>
      <c r="V8" s="44"/>
    </row>
  </sheetData>
  <autoFilter ref="A1:R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Sites Assessment</vt:lpstr>
      <vt:lpstr>Calculations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Williamson</dc:creator>
  <cp:lastModifiedBy>Acton, David</cp:lastModifiedBy>
  <dcterms:created xsi:type="dcterms:W3CDTF">2015-12-04T10:36:28Z</dcterms:created>
  <dcterms:modified xsi:type="dcterms:W3CDTF">2021-10-01T07:47:17Z</dcterms:modified>
</cp:coreProperties>
</file>